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697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19" i="1" l="1"/>
  <c r="N16" i="1"/>
  <c r="N20" i="1" s="1"/>
  <c r="N19" i="1"/>
  <c r="N24" i="1"/>
  <c r="N25" i="1"/>
  <c r="N29" i="1"/>
  <c r="N26" i="1" s="1"/>
  <c r="M20" i="1"/>
  <c r="N28" i="1"/>
  <c r="N27" i="1"/>
  <c r="N14" i="1"/>
  <c r="N13" i="1"/>
  <c r="N18" i="1"/>
  <c r="M15" i="1"/>
  <c r="M16" i="1"/>
  <c r="H7" i="1"/>
  <c r="G7" i="1"/>
  <c r="F7" i="1"/>
  <c r="E7" i="1"/>
  <c r="D7" i="1"/>
  <c r="N5" i="1"/>
  <c r="N8" i="1"/>
  <c r="M5" i="1"/>
  <c r="D10" i="1"/>
  <c r="C10" i="1"/>
  <c r="D9" i="1"/>
  <c r="C9" i="1"/>
  <c r="C7" i="1"/>
  <c r="H6" i="1"/>
  <c r="G6" i="1"/>
  <c r="F6" i="1"/>
  <c r="E6" i="1"/>
  <c r="D6" i="1"/>
  <c r="D22" i="1"/>
  <c r="E22" i="1"/>
  <c r="C13" i="1"/>
  <c r="E13" i="1"/>
  <c r="D13" i="1"/>
  <c r="F12" i="1"/>
  <c r="G12" i="1" s="1"/>
  <c r="G22" i="1" s="1"/>
  <c r="E12" i="1"/>
  <c r="F22" i="1" l="1"/>
  <c r="H12" i="1"/>
  <c r="G13" i="1"/>
  <c r="F13" i="1"/>
  <c r="D23" i="1" l="1"/>
  <c r="E23" i="1"/>
  <c r="H13" i="1"/>
  <c r="G14" i="1" s="1"/>
  <c r="H22" i="1"/>
  <c r="F14" i="1" l="1"/>
  <c r="D30" i="1"/>
  <c r="C14" i="1"/>
  <c r="D14" i="1"/>
  <c r="D27" i="1" s="1"/>
  <c r="D31" i="1" s="1"/>
  <c r="G23" i="1"/>
  <c r="F23" i="1"/>
  <c r="E14" i="1"/>
  <c r="C16" i="1" l="1"/>
  <c r="C4" i="1"/>
</calcChain>
</file>

<file path=xl/sharedStrings.xml><?xml version="1.0" encoding="utf-8"?>
<sst xmlns="http://schemas.openxmlformats.org/spreadsheetml/2006/main" count="42" uniqueCount="37">
  <si>
    <t>t = 0</t>
  </si>
  <si>
    <t>BE current</t>
  </si>
  <si>
    <t>t=1</t>
  </si>
  <si>
    <t>BE current attendu</t>
  </si>
  <si>
    <t>Flux estimés en 0</t>
  </si>
  <si>
    <t>Flux estimés en 1</t>
  </si>
  <si>
    <t>Charge de désactualisation</t>
  </si>
  <si>
    <t>Compte de résultat</t>
  </si>
  <si>
    <t>Charge de désactualisation totale</t>
  </si>
  <si>
    <t>OCI</t>
  </si>
  <si>
    <t>Charge de désactualisation OCI</t>
  </si>
  <si>
    <t>au bilan</t>
  </si>
  <si>
    <t>en résultat</t>
  </si>
  <si>
    <t>en OCI</t>
  </si>
  <si>
    <t>Prime</t>
  </si>
  <si>
    <t>RA</t>
  </si>
  <si>
    <t>CSM</t>
  </si>
  <si>
    <t>Flux des ZC</t>
  </si>
  <si>
    <t>Valeur ZC</t>
  </si>
  <si>
    <t>Portefeuille de ZC en FVOCI</t>
  </si>
  <si>
    <t>VM future vue de 0</t>
  </si>
  <si>
    <t>VM réelle</t>
  </si>
  <si>
    <t>Bilan en 0</t>
  </si>
  <si>
    <t>ZC</t>
  </si>
  <si>
    <t>BE</t>
  </si>
  <si>
    <t>Bilan en 1</t>
  </si>
  <si>
    <t>BQ</t>
  </si>
  <si>
    <t>OCI actif</t>
  </si>
  <si>
    <t>OCI passif</t>
  </si>
  <si>
    <t>Compte de résultat en 1</t>
  </si>
  <si>
    <t>Financial result</t>
  </si>
  <si>
    <t xml:space="preserve"> - investment income</t>
  </si>
  <si>
    <t xml:space="preserve"> - désactualisation BE</t>
  </si>
  <si>
    <t xml:space="preserve"> - désactualisation CSM</t>
  </si>
  <si>
    <t>Résultat</t>
  </si>
  <si>
    <t>A la souscription du contrat (en 0)</t>
  </si>
  <si>
    <t>Operating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</si>
</sst>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/>
    <xf numFmtId="0" fontId="3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2" applyFont="1"/>
    <xf numFmtId="43" fontId="0" fillId="0" borderId="0" xfId="0" applyNumberFormat="1"/>
    <xf numFmtId="0" fontId="4" fillId="0" borderId="0" xfId="0" applyFont="1"/>
    <xf numFmtId="43" fontId="0" fillId="2" borderId="0" xfId="1" applyFont="1" applyFill="1"/>
    <xf numFmtId="0" fontId="0" fillId="2" borderId="0" xfId="0" applyFill="1"/>
    <xf numFmtId="0" fontId="0" fillId="3" borderId="0" xfId="0" applyFill="1"/>
    <xf numFmtId="43" fontId="0" fillId="3" borderId="0" xfId="0" applyNumberFormat="1" applyFill="1"/>
    <xf numFmtId="43" fontId="0" fillId="4" borderId="0" xfId="0" applyNumberFormat="1" applyFill="1"/>
    <xf numFmtId="0" fontId="0" fillId="4" borderId="0" xfId="0" applyFill="1"/>
    <xf numFmtId="0" fontId="3" fillId="0" borderId="0" xfId="0" applyFont="1"/>
    <xf numFmtId="43" fontId="2" fillId="0" borderId="0" xfId="0" applyNumberFormat="1" applyFont="1"/>
    <xf numFmtId="0" fontId="0" fillId="0" borderId="2" xfId="0" applyBorder="1"/>
    <xf numFmtId="0" fontId="0" fillId="0" borderId="3" xfId="0" applyBorder="1"/>
    <xf numFmtId="43" fontId="0" fillId="0" borderId="3" xfId="0" applyNumberFormat="1" applyBorder="1"/>
    <xf numFmtId="43" fontId="0" fillId="0" borderId="2" xfId="0" applyNumberFormat="1" applyBorder="1"/>
    <xf numFmtId="0" fontId="0" fillId="0" borderId="0" xfId="0" quotePrefix="1"/>
    <xf numFmtId="0" fontId="0" fillId="0" borderId="1" xfId="0" applyBorder="1"/>
    <xf numFmtId="43" fontId="0" fillId="0" borderId="4" xfId="0" applyNumberFormat="1" applyBorder="1"/>
    <xf numFmtId="0" fontId="2" fillId="0" borderId="1" xfId="0" applyFont="1" applyBorder="1" applyAlignment="1">
      <alignment horizontal="centerContinuous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topLeftCell="A9" workbookViewId="0">
      <selection activeCell="F17" sqref="F17"/>
    </sheetView>
  </sheetViews>
  <sheetFormatPr baseColWidth="10" defaultRowHeight="15" x14ac:dyDescent="0.25"/>
  <cols>
    <col min="2" max="2" width="17.5703125" bestFit="1" customWidth="1"/>
    <col min="3" max="3" width="14.5703125" customWidth="1"/>
  </cols>
  <sheetData>
    <row r="1" spans="1:15" x14ac:dyDescent="0.25">
      <c r="B1" s="15" t="s">
        <v>35</v>
      </c>
    </row>
    <row r="2" spans="1:15" x14ac:dyDescent="0.25">
      <c r="B2" t="s">
        <v>14</v>
      </c>
      <c r="C2">
        <v>100</v>
      </c>
      <c r="L2" s="24" t="s">
        <v>22</v>
      </c>
      <c r="M2" s="24"/>
      <c r="N2" s="24"/>
      <c r="O2" s="24"/>
    </row>
    <row r="3" spans="1:15" x14ac:dyDescent="0.25">
      <c r="B3" t="s">
        <v>15</v>
      </c>
      <c r="C3">
        <v>0</v>
      </c>
      <c r="N3" s="17"/>
    </row>
    <row r="4" spans="1:15" x14ac:dyDescent="0.25">
      <c r="B4" t="s">
        <v>16</v>
      </c>
      <c r="C4" s="7">
        <f>C2-C14-C3</f>
        <v>8.4058562561093311</v>
      </c>
      <c r="N4" s="18"/>
    </row>
    <row r="5" spans="1:15" x14ac:dyDescent="0.25">
      <c r="L5" t="s">
        <v>23</v>
      </c>
      <c r="M5" s="7">
        <f>C7</f>
        <v>100</v>
      </c>
      <c r="N5" s="19">
        <f>C4</f>
        <v>8.4058562561093311</v>
      </c>
      <c r="O5" t="s">
        <v>16</v>
      </c>
    </row>
    <row r="6" spans="1:15" x14ac:dyDescent="0.25">
      <c r="B6" t="s">
        <v>17</v>
      </c>
      <c r="C6" s="16"/>
      <c r="D6" s="7">
        <f>D11*$C2/$C14</f>
        <v>21.835457140057603</v>
      </c>
      <c r="E6" s="7">
        <f t="shared" ref="E6:H6" si="0">E11*$C2/$C14</f>
        <v>21.835457140057603</v>
      </c>
      <c r="F6" s="7">
        <f t="shared" si="0"/>
        <v>21.835457140057603</v>
      </c>
      <c r="G6" s="7">
        <f t="shared" si="0"/>
        <v>21.835457140057603</v>
      </c>
      <c r="H6" s="7">
        <f t="shared" si="0"/>
        <v>21.835457140057603</v>
      </c>
      <c r="N6" s="18"/>
    </row>
    <row r="7" spans="1:15" x14ac:dyDescent="0.25">
      <c r="B7" t="s">
        <v>18</v>
      </c>
      <c r="C7" s="16">
        <f>SUMPRODUCT(D6:H6,D13:H13)</f>
        <v>100</v>
      </c>
      <c r="D7" s="7">
        <f>D6*D13</f>
        <v>21.199472951512234</v>
      </c>
      <c r="E7" s="7">
        <f t="shared" ref="E7:H7" si="1">E6*E13</f>
        <v>20.582012574283723</v>
      </c>
      <c r="F7" s="7">
        <f t="shared" si="1"/>
        <v>19.982536479887113</v>
      </c>
      <c r="G7" s="7">
        <f t="shared" si="1"/>
        <v>19.400520854259334</v>
      </c>
      <c r="H7" s="7">
        <f t="shared" si="1"/>
        <v>18.835457140057606</v>
      </c>
      <c r="N7" s="18"/>
    </row>
    <row r="8" spans="1:15" x14ac:dyDescent="0.25">
      <c r="B8" t="s">
        <v>19</v>
      </c>
      <c r="C8" s="16"/>
      <c r="N8" s="19">
        <f>C14</f>
        <v>91.594143743890669</v>
      </c>
      <c r="O8" t="s">
        <v>24</v>
      </c>
    </row>
    <row r="9" spans="1:15" x14ac:dyDescent="0.25">
      <c r="B9" t="s">
        <v>20</v>
      </c>
      <c r="C9" s="16">
        <f>C7</f>
        <v>100</v>
      </c>
      <c r="D9" s="7">
        <f>SUMPRODUCT(D6:H6,D13:H13)/D13</f>
        <v>103</v>
      </c>
      <c r="N9" s="18"/>
    </row>
    <row r="10" spans="1:15" x14ac:dyDescent="0.25">
      <c r="B10" t="s">
        <v>21</v>
      </c>
      <c r="C10" s="7">
        <f>C9</f>
        <v>100</v>
      </c>
      <c r="D10" s="3">
        <f>SUMPRODUCT(D6:H6,D22:H22)</f>
        <v>107.03665870658534</v>
      </c>
    </row>
    <row r="11" spans="1:15" x14ac:dyDescent="0.25">
      <c r="B11" s="15" t="s">
        <v>4</v>
      </c>
      <c r="D11">
        <v>20</v>
      </c>
      <c r="E11">
        <v>20</v>
      </c>
      <c r="F11">
        <v>20</v>
      </c>
      <c r="G11">
        <v>20</v>
      </c>
      <c r="H11">
        <v>20</v>
      </c>
    </row>
    <row r="12" spans="1:15" x14ac:dyDescent="0.25">
      <c r="C12" s="4">
        <v>0</v>
      </c>
      <c r="D12" s="4">
        <v>1</v>
      </c>
      <c r="E12" s="4">
        <f>D12+1</f>
        <v>2</v>
      </c>
      <c r="F12" s="4">
        <f t="shared" ref="F12:H12" si="2">E12+1</f>
        <v>3</v>
      </c>
      <c r="G12" s="4">
        <f t="shared" si="2"/>
        <v>4</v>
      </c>
      <c r="H12" s="4">
        <f t="shared" si="2"/>
        <v>5</v>
      </c>
      <c r="I12" s="1"/>
      <c r="J12" t="s">
        <v>1</v>
      </c>
      <c r="L12" s="24" t="s">
        <v>25</v>
      </c>
      <c r="M12" s="24"/>
      <c r="N12" s="24"/>
      <c r="O12" s="24"/>
    </row>
    <row r="13" spans="1:15" x14ac:dyDescent="0.25">
      <c r="A13" s="5">
        <v>0.03</v>
      </c>
      <c r="B13" s="2" t="s">
        <v>0</v>
      </c>
      <c r="C13">
        <f>(1+$A13)^-C12</f>
        <v>1</v>
      </c>
      <c r="D13">
        <f>(1+$A13)^-D12</f>
        <v>0.970873786407767</v>
      </c>
      <c r="E13">
        <f t="shared" ref="E13:H13" si="3">(1+$A13)^-E12</f>
        <v>0.94259590913375435</v>
      </c>
      <c r="F13">
        <f t="shared" si="3"/>
        <v>0.91514165935315961</v>
      </c>
      <c r="G13">
        <f t="shared" si="3"/>
        <v>0.888487047915689</v>
      </c>
      <c r="H13">
        <f t="shared" si="3"/>
        <v>0.86260878438416411</v>
      </c>
      <c r="N13" s="20">
        <f>D10-D9</f>
        <v>4.0366587065853423</v>
      </c>
      <c r="O13" t="s">
        <v>27</v>
      </c>
    </row>
    <row r="14" spans="1:15" x14ac:dyDescent="0.25">
      <c r="B14" t="s">
        <v>3</v>
      </c>
      <c r="C14" s="9">
        <f>SUMPRODUCT(D11:$H11,D13:$H13)/C13</f>
        <v>91.594143743890669</v>
      </c>
      <c r="D14" s="3">
        <f>SUMPRODUCT(E11:$H11,E13:$H13)/D13</f>
        <v>74.341968056207406</v>
      </c>
      <c r="E14" s="3">
        <f>SUMPRODUCT(F11:$H11,F13:$H13)/E13</f>
        <v>56.572227097893631</v>
      </c>
      <c r="F14" s="3">
        <f>SUMPRODUCT(G11:$H11,G13:$H13)/F13</f>
        <v>38.269393910830438</v>
      </c>
      <c r="G14" s="3">
        <f>SUMPRODUCT(H11:$H11,H13:$H13)/G13</f>
        <v>19.417475728155342</v>
      </c>
      <c r="H14" s="3">
        <v>0</v>
      </c>
      <c r="N14" s="19">
        <f>D14-D23</f>
        <v>-3.6973429781600231</v>
      </c>
      <c r="O14" t="s">
        <v>28</v>
      </c>
    </row>
    <row r="15" spans="1:15" x14ac:dyDescent="0.25">
      <c r="J15" s="10" t="s">
        <v>11</v>
      </c>
      <c r="L15" t="s">
        <v>23</v>
      </c>
      <c r="M15" s="7">
        <f>D10-D6</f>
        <v>85.201201566527743</v>
      </c>
      <c r="N15" s="19"/>
    </row>
    <row r="16" spans="1:15" x14ac:dyDescent="0.25">
      <c r="C16" s="7">
        <f>A13*C14</f>
        <v>2.7478243123167201</v>
      </c>
      <c r="J16" s="11" t="s">
        <v>12</v>
      </c>
      <c r="L16" t="s">
        <v>26</v>
      </c>
      <c r="M16" s="7">
        <f>D6-D11</f>
        <v>1.8354571400576027</v>
      </c>
      <c r="N16" s="19">
        <f>N5-N25-N29</f>
        <v>6.9768606925707441</v>
      </c>
      <c r="O16" t="s">
        <v>16</v>
      </c>
    </row>
    <row r="17" spans="1:15" x14ac:dyDescent="0.25">
      <c r="J17" s="14" t="s">
        <v>13</v>
      </c>
      <c r="N17" s="18"/>
    </row>
    <row r="18" spans="1:15" x14ac:dyDescent="0.25">
      <c r="N18" s="19">
        <f>D23</f>
        <v>78.039311034367429</v>
      </c>
      <c r="O18" t="s">
        <v>24</v>
      </c>
    </row>
    <row r="19" spans="1:15" x14ac:dyDescent="0.25">
      <c r="D19">
        <f>100*(1+3%)^2</f>
        <v>106.08999999999999</v>
      </c>
      <c r="L19" s="22"/>
      <c r="M19" s="22"/>
      <c r="N19" s="23">
        <f>N24</f>
        <v>1.6811712512218491</v>
      </c>
      <c r="O19" s="22" t="s">
        <v>34</v>
      </c>
    </row>
    <row r="20" spans="1:15" x14ac:dyDescent="0.25">
      <c r="M20" s="16">
        <f>SUM(M13:M19)</f>
        <v>87.036658706585342</v>
      </c>
      <c r="N20" s="16">
        <f>SUM(N13:N19)</f>
        <v>87.036658706585342</v>
      </c>
    </row>
    <row r="21" spans="1:15" x14ac:dyDescent="0.25">
      <c r="B21" s="15" t="s">
        <v>5</v>
      </c>
      <c r="E21">
        <v>20</v>
      </c>
      <c r="F21">
        <v>20</v>
      </c>
      <c r="G21">
        <v>20</v>
      </c>
      <c r="H21">
        <v>20</v>
      </c>
      <c r="M21" s="7"/>
    </row>
    <row r="22" spans="1:15" x14ac:dyDescent="0.25">
      <c r="A22" s="5">
        <v>0.01</v>
      </c>
      <c r="B22" s="2" t="s">
        <v>2</v>
      </c>
      <c r="C22" s="2"/>
      <c r="D22" s="6">
        <f>(1+$A22)^-(D12-1)</f>
        <v>1</v>
      </c>
      <c r="E22" s="6">
        <f>(1+$A22)^-(E12-1)</f>
        <v>0.99009900990099009</v>
      </c>
      <c r="F22" s="6">
        <f t="shared" ref="F22:H22" si="4">(1+$A22)^-(F12-1)</f>
        <v>0.98029604940692083</v>
      </c>
      <c r="G22" s="6">
        <f t="shared" si="4"/>
        <v>0.97059014792764453</v>
      </c>
      <c r="H22" s="6">
        <f t="shared" si="4"/>
        <v>0.96098034448281622</v>
      </c>
    </row>
    <row r="23" spans="1:15" x14ac:dyDescent="0.25">
      <c r="B23" t="s">
        <v>3</v>
      </c>
      <c r="D23" s="9">
        <f>SUMPRODUCT(E21:$H21,E22:$H22)/D22</f>
        <v>78.039311034367429</v>
      </c>
      <c r="E23" s="3">
        <f>SUMPRODUCT(F21:$H21,F22:$H22)/E22</f>
        <v>58.81970414471111</v>
      </c>
      <c r="F23" s="3">
        <f>SUMPRODUCT(G21:$H21,G22:$H22)/F22</f>
        <v>39.407901186158227</v>
      </c>
      <c r="G23" s="3">
        <f>SUMPRODUCT(H21:$H21,H22:$H22)/G22</f>
        <v>19.801980198019802</v>
      </c>
    </row>
    <row r="24" spans="1:15" x14ac:dyDescent="0.25">
      <c r="L24" s="8" t="s">
        <v>29</v>
      </c>
      <c r="N24" s="16">
        <f>SUM(N25:N26)</f>
        <v>1.6811712512218491</v>
      </c>
    </row>
    <row r="25" spans="1:15" x14ac:dyDescent="0.25">
      <c r="L25" t="s">
        <v>36</v>
      </c>
      <c r="N25" s="7">
        <f>20%*N5</f>
        <v>1.6811712512218664</v>
      </c>
    </row>
    <row r="26" spans="1:15" x14ac:dyDescent="0.25">
      <c r="B26" s="8" t="s">
        <v>7</v>
      </c>
      <c r="L26" s="8" t="s">
        <v>30</v>
      </c>
      <c r="N26" s="16">
        <f>SUM(N27:N29)</f>
        <v>-1.7319479184152442E-14</v>
      </c>
    </row>
    <row r="27" spans="1:15" x14ac:dyDescent="0.25">
      <c r="B27" t="s">
        <v>6</v>
      </c>
      <c r="D27" s="12">
        <f>(D14+D11)-C14</f>
        <v>2.7478243123167374</v>
      </c>
      <c r="L27" t="s">
        <v>31</v>
      </c>
      <c r="N27" s="7">
        <f>D9-C9</f>
        <v>3</v>
      </c>
    </row>
    <row r="28" spans="1:15" x14ac:dyDescent="0.25">
      <c r="L28" s="21" t="s">
        <v>32</v>
      </c>
      <c r="N28" s="7">
        <f>-D27</f>
        <v>-2.7478243123167374</v>
      </c>
    </row>
    <row r="29" spans="1:15" x14ac:dyDescent="0.25">
      <c r="B29" s="8" t="s">
        <v>9</v>
      </c>
      <c r="L29" t="s">
        <v>33</v>
      </c>
      <c r="N29" s="7">
        <f>-$A$13*N5</f>
        <v>-0.25217568768327991</v>
      </c>
    </row>
    <row r="30" spans="1:15" x14ac:dyDescent="0.25">
      <c r="B30" t="s">
        <v>10</v>
      </c>
      <c r="D30" s="13">
        <f>D23-D14</f>
        <v>3.6973429781600231</v>
      </c>
    </row>
    <row r="31" spans="1:15" x14ac:dyDescent="0.25">
      <c r="B31" t="s">
        <v>8</v>
      </c>
      <c r="D31" s="7">
        <f>D27+(D23-D14)</f>
        <v>6.4451672904767605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ptherond</dc:creator>
  <cp:lastModifiedBy>ptherond</cp:lastModifiedBy>
  <dcterms:created xsi:type="dcterms:W3CDTF">2015-04-03T07:31:55Z</dcterms:created>
  <dcterms:modified xsi:type="dcterms:W3CDTF">2015-04-03T15:50:04Z</dcterms:modified>
</cp:coreProperties>
</file>